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bmsnet_bmsevent\party_pabat\tab_page\2021\"/>
    </mc:Choice>
  </mc:AlternateContent>
  <xr:revisionPtr revIDLastSave="0" documentId="13_ncr:1_{2B61BCC3-81C7-4ADE-9B64-5A5D3EC0983D}" xr6:coauthVersionLast="46" xr6:coauthVersionMax="46" xr10:uidLastSave="{00000000-0000-0000-0000-000000000000}"/>
  <bookViews>
    <workbookView xWindow="58905" yWindow="30" windowWidth="28650" windowHeight="1555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Sheet1!$A$1:$H$44</definedName>
  </definedNames>
  <calcPr calcId="191029"/>
</workbook>
</file>

<file path=xl/calcChain.xml><?xml version="1.0" encoding="utf-8"?>
<calcChain xmlns="http://schemas.openxmlformats.org/spreadsheetml/2006/main">
  <c r="F42" i="1" l="1"/>
  <c r="F41" i="1"/>
  <c r="F22" i="1"/>
  <c r="F11" i="1"/>
  <c r="C11" i="1"/>
  <c r="F27" i="1"/>
  <c r="F36" i="1"/>
  <c r="F30" i="1"/>
  <c r="F25" i="1"/>
  <c r="F43" i="1"/>
  <c r="F8" i="1"/>
  <c r="F2" i="1"/>
  <c r="F6" i="1"/>
  <c r="F37" i="1"/>
  <c r="F5" i="1"/>
  <c r="F40" i="1"/>
  <c r="F23" i="1"/>
  <c r="F26" i="1"/>
  <c r="F32" i="1"/>
  <c r="F34" i="1"/>
  <c r="E34" i="1"/>
  <c r="E35" i="1"/>
  <c r="C35" i="1"/>
  <c r="F35" i="1" s="1"/>
  <c r="F16" i="1"/>
  <c r="E16" i="1"/>
  <c r="F19" i="1"/>
  <c r="E19" i="1"/>
  <c r="F9" i="1"/>
  <c r="E9" i="1"/>
  <c r="F24" i="1"/>
  <c r="E24" i="1"/>
  <c r="F20" i="1"/>
  <c r="E10" i="1"/>
  <c r="C10" i="1"/>
  <c r="F10" i="1" s="1"/>
  <c r="F39" i="1"/>
  <c r="E28" i="1"/>
  <c r="C28" i="1"/>
  <c r="F28" i="1" s="1"/>
  <c r="F21" i="1"/>
  <c r="E31" i="1"/>
  <c r="C31" i="1"/>
  <c r="F31" i="1" s="1"/>
  <c r="E18" i="1"/>
  <c r="C18" i="1"/>
  <c r="F18" i="1" s="1"/>
  <c r="F13" i="1"/>
  <c r="C38" i="1"/>
  <c r="F38" i="1" s="1"/>
  <c r="C15" i="1"/>
  <c r="F15" i="1" s="1"/>
  <c r="C29" i="1"/>
  <c r="F29" i="1" s="1"/>
  <c r="C4" i="1"/>
  <c r="F4" i="1" s="1"/>
  <c r="E3" i="1"/>
  <c r="C3" i="1"/>
  <c r="F3" i="1" s="1"/>
  <c r="F7" i="1"/>
  <c r="C7" i="1"/>
  <c r="F44" i="1"/>
  <c r="E44" i="1"/>
  <c r="E17" i="1"/>
  <c r="C17" i="1"/>
  <c r="F17" i="1" s="1"/>
  <c r="F14" i="1"/>
  <c r="F33" i="1"/>
  <c r="F12" i="1"/>
  <c r="D41" i="1" l="1"/>
  <c r="G41" i="1" s="1"/>
  <c r="D19" i="1"/>
  <c r="D36" i="1"/>
  <c r="G36" i="1" s="1"/>
  <c r="D12" i="1"/>
  <c r="D2" i="1"/>
  <c r="D42" i="1"/>
  <c r="D11" i="1"/>
  <c r="G11" i="1" s="1"/>
  <c r="D17" i="1"/>
  <c r="D25" i="1"/>
  <c r="D40" i="1"/>
  <c r="D7" i="1"/>
  <c r="D4" i="1"/>
  <c r="D13" i="1"/>
  <c r="D39" i="1"/>
  <c r="D22" i="1"/>
  <c r="D27" i="1"/>
  <c r="D30" i="1"/>
  <c r="D43" i="1"/>
  <c r="D37" i="1"/>
  <c r="G37" i="1" s="1"/>
  <c r="D32" i="1"/>
  <c r="G32" i="1" s="1"/>
  <c r="D8" i="1"/>
  <c r="D6" i="1"/>
  <c r="D5" i="1"/>
  <c r="D23" i="1"/>
  <c r="D35" i="1"/>
  <c r="D24" i="1"/>
  <c r="D26" i="1"/>
  <c r="D34" i="1"/>
  <c r="D16" i="1"/>
  <c r="D9" i="1"/>
  <c r="D20" i="1"/>
  <c r="D21" i="1"/>
  <c r="D10" i="1"/>
  <c r="D28" i="1"/>
  <c r="G28" i="1" s="1"/>
  <c r="D31" i="1"/>
  <c r="D15" i="1"/>
  <c r="D33" i="1"/>
  <c r="D18" i="1"/>
  <c r="D38" i="1"/>
  <c r="D29" i="1"/>
  <c r="D3" i="1"/>
  <c r="D44" i="1"/>
  <c r="D14" i="1"/>
  <c r="G30" i="1"/>
  <c r="G21" i="1" l="1"/>
  <c r="G14" i="1"/>
  <c r="G13" i="1"/>
  <c r="G42" i="1"/>
  <c r="G22" i="1"/>
  <c r="G27" i="1"/>
  <c r="G25" i="1"/>
  <c r="G43" i="1"/>
  <c r="G8" i="1"/>
  <c r="G2" i="1"/>
  <c r="G6" i="1"/>
  <c r="G5" i="1"/>
  <c r="G40" i="1"/>
  <c r="G23" i="1"/>
  <c r="G26" i="1"/>
  <c r="G34" i="1"/>
  <c r="G35" i="1"/>
  <c r="G16" i="1"/>
  <c r="G19" i="1"/>
  <c r="G9" i="1"/>
  <c r="G24" i="1"/>
  <c r="G20" i="1"/>
  <c r="G10" i="1"/>
  <c r="G39" i="1"/>
  <c r="G31" i="1"/>
  <c r="G18" i="1"/>
  <c r="G38" i="1"/>
  <c r="G15" i="1"/>
  <c r="G29" i="1"/>
  <c r="G4" i="1"/>
  <c r="G3" i="1"/>
  <c r="G7" i="1"/>
  <c r="G44" i="1"/>
  <c r="G17" i="1"/>
  <c r="G33" i="1"/>
  <c r="G12" i="1"/>
  <c r="H14" i="1" l="1"/>
  <c r="H44" i="1"/>
  <c r="H3" i="1"/>
  <c r="H29" i="1"/>
  <c r="H38" i="1"/>
  <c r="H18" i="1"/>
  <c r="H21" i="1"/>
  <c r="H39" i="1"/>
  <c r="H20" i="1"/>
  <c r="H9" i="1"/>
  <c r="H16" i="1"/>
  <c r="H34" i="1"/>
  <c r="H26" i="1"/>
  <c r="H40" i="1"/>
  <c r="H37" i="1"/>
  <c r="H2" i="1"/>
  <c r="H43" i="1"/>
  <c r="H30" i="1"/>
  <c r="H27" i="1"/>
  <c r="H22" i="1"/>
  <c r="H42" i="1"/>
  <c r="H17" i="1"/>
  <c r="H7" i="1"/>
  <c r="H4" i="1"/>
  <c r="H15" i="1"/>
  <c r="H13" i="1"/>
  <c r="H31" i="1"/>
  <c r="H28" i="1"/>
  <c r="H10" i="1"/>
  <c r="H24" i="1"/>
  <c r="H19" i="1"/>
  <c r="H35" i="1"/>
  <c r="H32" i="1"/>
  <c r="H23" i="1"/>
  <c r="H5" i="1"/>
  <c r="H6" i="1"/>
  <c r="H8" i="1"/>
  <c r="H25" i="1"/>
  <c r="H36" i="1"/>
  <c r="H11" i="1"/>
  <c r="H41" i="1"/>
  <c r="H12" i="1"/>
  <c r="H33" i="1"/>
</calcChain>
</file>

<file path=xl/sharedStrings.xml><?xml version="1.0" encoding="utf-8"?>
<sst xmlns="http://schemas.openxmlformats.org/spreadsheetml/2006/main" count="64" uniqueCount="64">
  <si>
    <t>Out of Competition Side</t>
    <phoneticPr fontId="1" type="noConversion"/>
  </si>
  <si>
    <t>No.</t>
    <phoneticPr fontId="1" type="noConversion"/>
  </si>
  <si>
    <t>Title</t>
    <phoneticPr fontId="1" type="noConversion"/>
  </si>
  <si>
    <t>Total</t>
    <phoneticPr fontId="1" type="noConversion"/>
  </si>
  <si>
    <t>Total share</t>
    <phoneticPr fontId="1" type="noConversion"/>
  </si>
  <si>
    <t>Median</t>
    <phoneticPr fontId="1" type="noConversion"/>
  </si>
  <si>
    <t>Average</t>
    <phoneticPr fontId="1" type="noConversion"/>
  </si>
  <si>
    <t>PABAT point</t>
    <phoneticPr fontId="1" type="noConversion"/>
  </si>
  <si>
    <t>Rank</t>
    <phoneticPr fontId="1" type="noConversion"/>
  </si>
  <si>
    <t>Kiss in the dark</t>
    <phoneticPr fontId="1" type="noConversion"/>
  </si>
  <si>
    <t>ROADBLOCKER</t>
    <phoneticPr fontId="1" type="noConversion"/>
  </si>
  <si>
    <t>Romantic</t>
    <phoneticPr fontId="1" type="noConversion"/>
  </si>
  <si>
    <t>beendine</t>
    <phoneticPr fontId="1" type="noConversion"/>
  </si>
  <si>
    <t>bianca</t>
    <phoneticPr fontId="1" type="noConversion"/>
  </si>
  <si>
    <t>Resist(BMS Refine)</t>
    <phoneticPr fontId="1" type="noConversion"/>
  </si>
  <si>
    <t>tAbLeFiElD_keitazu</t>
    <phoneticPr fontId="1" type="noConversion"/>
  </si>
  <si>
    <t>Rigveda</t>
    <phoneticPr fontId="1" type="noConversion"/>
  </si>
  <si>
    <t>Blah Dha</t>
    <phoneticPr fontId="1" type="noConversion"/>
  </si>
  <si>
    <t>Crank That</t>
    <phoneticPr fontId="1" type="noConversion"/>
  </si>
  <si>
    <t>Variegata</t>
    <phoneticPr fontId="1" type="noConversion"/>
  </si>
  <si>
    <t>Qcsipedo (GReeZ mix)</t>
    <phoneticPr fontId="1" type="noConversion"/>
  </si>
  <si>
    <t>Simple as that</t>
    <phoneticPr fontId="1" type="noConversion"/>
  </si>
  <si>
    <t>Sleep Deprivation</t>
    <phoneticPr fontId="1" type="noConversion"/>
  </si>
  <si>
    <t>the ocean sure is vast, isn't it?</t>
    <phoneticPr fontId="1" type="noConversion"/>
  </si>
  <si>
    <t>Arrival@234</t>
    <phoneticPr fontId="1" type="noConversion"/>
  </si>
  <si>
    <t>Amethyst</t>
    <phoneticPr fontId="1" type="noConversion"/>
  </si>
  <si>
    <t>TRIPPORTAL21-98</t>
    <phoneticPr fontId="1" type="noConversion"/>
  </si>
  <si>
    <t>Without Mishap.</t>
    <phoneticPr fontId="1" type="noConversion"/>
  </si>
  <si>
    <t>Cultivator</t>
    <phoneticPr fontId="1" type="noConversion"/>
  </si>
  <si>
    <t>INSTANT_ADDICTION</t>
    <phoneticPr fontId="1" type="noConversion"/>
  </si>
  <si>
    <t>Dawndrops</t>
    <phoneticPr fontId="1" type="noConversion"/>
  </si>
  <si>
    <t>presserts</t>
    <phoneticPr fontId="1" type="noConversion"/>
  </si>
  <si>
    <t>Inside Out</t>
    <phoneticPr fontId="1" type="noConversion"/>
  </si>
  <si>
    <t>Tales of Ancient Knights</t>
    <phoneticPr fontId="1" type="noConversion"/>
  </si>
  <si>
    <t>struggle</t>
    <phoneticPr fontId="1" type="noConversion"/>
  </si>
  <si>
    <t>Koke</t>
    <phoneticPr fontId="1" type="noConversion"/>
  </si>
  <si>
    <t>Retuning Cycle</t>
    <phoneticPr fontId="1" type="noConversion"/>
  </si>
  <si>
    <t>4427423144 (RAPER)</t>
    <phoneticPr fontId="1" type="noConversion"/>
  </si>
  <si>
    <t>milky way</t>
    <phoneticPr fontId="1" type="noConversion"/>
  </si>
  <si>
    <t>S.T.E.P</t>
    <phoneticPr fontId="1" type="noConversion"/>
  </si>
  <si>
    <t>Aq.January</t>
    <phoneticPr fontId="1" type="noConversion"/>
  </si>
  <si>
    <t>caution_mode</t>
    <phoneticPr fontId="1" type="noConversion"/>
  </si>
  <si>
    <t>Soft Bread</t>
    <phoneticPr fontId="1" type="noConversion"/>
  </si>
  <si>
    <t>너를 잊었어 Forgot Ya</t>
    <phoneticPr fontId="1" type="noConversion"/>
  </si>
  <si>
    <t>ONDA</t>
    <phoneticPr fontId="1" type="noConversion"/>
  </si>
  <si>
    <t>negura</t>
    <phoneticPr fontId="1" type="noConversion"/>
  </si>
  <si>
    <t>whence</t>
    <phoneticPr fontId="1" type="noConversion"/>
  </si>
  <si>
    <t>Chasing Stars</t>
    <phoneticPr fontId="1" type="noConversion"/>
  </si>
  <si>
    <t>graviton ( 2021 BMS Edit. )</t>
    <phoneticPr fontId="1" type="noConversion"/>
  </si>
  <si>
    <t>Beautiful Scenic Landscapes with Calming Piano Music</t>
    <phoneticPr fontId="1" type="noConversion"/>
  </si>
  <si>
    <t>スズカゼの森</t>
    <phoneticPr fontId="1" type="noConversion"/>
  </si>
  <si>
    <t>KAWASAKI Drop Kick</t>
    <phoneticPr fontId="1" type="noConversion"/>
  </si>
  <si>
    <t>StraightTone (Original Ver.)</t>
    <phoneticPr fontId="1" type="noConversion"/>
  </si>
  <si>
    <t>The Dark Side of Positive Energy</t>
    <phoneticPr fontId="1" type="noConversion"/>
  </si>
  <si>
    <t>KERE</t>
    <phoneticPr fontId="1" type="noConversion"/>
  </si>
  <si>
    <t>ロ</t>
    <phoneticPr fontId="1" type="noConversion"/>
  </si>
  <si>
    <t>wake up, waste high</t>
    <phoneticPr fontId="1" type="noConversion"/>
  </si>
  <si>
    <t>H4ELVOON ～天獄へようこそ～</t>
    <phoneticPr fontId="1" type="noConversion"/>
  </si>
  <si>
    <t>The Hell Song</t>
    <phoneticPr fontId="1" type="noConversion"/>
  </si>
  <si>
    <t>CoNfuSioN - DX MIX ver II</t>
    <phoneticPr fontId="1" type="noConversion"/>
  </si>
  <si>
    <t>Sophomore jinx -Lunar side-</t>
    <phoneticPr fontId="1" type="noConversion"/>
  </si>
  <si>
    <t>#dearMoon</t>
    <phoneticPr fontId="1" type="noConversion"/>
  </si>
  <si>
    <t>Replace</t>
    <phoneticPr fontId="1" type="noConversion"/>
  </si>
  <si>
    <t>I GOT THE FILLIN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</si>
</sst>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"/>
    <numFmt numFmtId="178" formatCode="0.000"/>
  </numFmts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8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177" fontId="0" fillId="0" borderId="0" xfId="0" applyNumberFormat="1">
      <alignment vertical="center"/>
    </xf>
    <xf numFmtId="0" fontId="0" fillId="0" borderId="0" xfId="0" quotePrefix="1">
      <alignment vertical="center"/>
    </xf>
    <xf numFmtId="178" fontId="0" fillId="0" borderId="0" xfId="0" applyNumberFormat="1">
      <alignment vertical="center"/>
    </xf>
    <xf numFmtId="49" fontId="4" fillId="0" borderId="0" xfId="1" quotePrefix="1" applyNumberFormat="1" applyFont="1">
      <alignment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workbookViewId="0">
      <selection activeCell="B11" sqref="B11"/>
    </sheetView>
  </sheetViews>
  <sheetFormatPr defaultRowHeight="16.5"/>
  <cols>
    <col min="1" max="1" width="9.125" customWidth="1"/>
    <col min="2" max="2" width="54.5" bestFit="1" customWidth="1"/>
    <col min="4" max="4" width="11.625" bestFit="1" customWidth="1"/>
    <col min="5" max="6" width="10" customWidth="1"/>
    <col min="7" max="7" width="16.625" style="1" bestFit="1" customWidth="1"/>
    <col min="8" max="8" width="9" style="2"/>
  </cols>
  <sheetData>
    <row r="1" spans="1:8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3" t="s">
        <v>7</v>
      </c>
      <c r="H1" s="2" t="s">
        <v>8</v>
      </c>
    </row>
    <row r="2" spans="1:8">
      <c r="A2">
        <v>38</v>
      </c>
      <c r="B2" s="4" t="s">
        <v>46</v>
      </c>
      <c r="C2">
        <v>3814</v>
      </c>
      <c r="D2" s="1">
        <f>(C2/MAX($C$2:$C$44))*100</f>
        <v>95.829145728643212</v>
      </c>
      <c r="E2" s="5">
        <v>98</v>
      </c>
      <c r="F2" s="7">
        <f>C2/41</f>
        <v>93.024390243902445</v>
      </c>
      <c r="G2" s="1">
        <f>D2*0.07+E2*0.8+F2*0.13</f>
        <v>97.201210932712343</v>
      </c>
      <c r="H2" s="2">
        <f>RANK(G2,$G$2:$G$44)</f>
        <v>1</v>
      </c>
    </row>
    <row r="3" spans="1:8">
      <c r="A3">
        <v>9</v>
      </c>
      <c r="B3" t="s">
        <v>17</v>
      </c>
      <c r="C3">
        <f>3980</f>
        <v>3980</v>
      </c>
      <c r="D3" s="1">
        <f>(C3/MAX($C$2:$C$44))*100</f>
        <v>100</v>
      </c>
      <c r="E3" s="5">
        <f>95</f>
        <v>95</v>
      </c>
      <c r="F3" s="7">
        <f>C3/43</f>
        <v>92.558139534883722</v>
      </c>
      <c r="G3" s="1">
        <f>D3*0.07+E3*0.8+F3*0.13</f>
        <v>95.032558139534885</v>
      </c>
      <c r="H3" s="2">
        <f>RANK(G3,$G$2:$G$44)</f>
        <v>2</v>
      </c>
    </row>
    <row r="4" spans="1:8">
      <c r="A4">
        <v>11</v>
      </c>
      <c r="B4" t="s">
        <v>19</v>
      </c>
      <c r="C4">
        <f>3522</f>
        <v>3522</v>
      </c>
      <c r="D4" s="1">
        <f>(C4/MAX($C$2:$C$44))*100</f>
        <v>88.492462311557787</v>
      </c>
      <c r="E4" s="5">
        <v>95</v>
      </c>
      <c r="F4" s="7">
        <f>C4/40</f>
        <v>88.05</v>
      </c>
      <c r="G4" s="1">
        <f>D4*0.07+E4*0.8+F4*0.13</f>
        <v>93.640972361809048</v>
      </c>
      <c r="H4" s="2">
        <f>RANK(G4,$G$2:$G$44)</f>
        <v>3</v>
      </c>
    </row>
    <row r="5" spans="1:8">
      <c r="A5">
        <v>35</v>
      </c>
      <c r="B5" t="s">
        <v>43</v>
      </c>
      <c r="C5">
        <v>2563</v>
      </c>
      <c r="D5" s="1">
        <f>(C5/MAX($C$2:$C$44))*100</f>
        <v>64.396984924623112</v>
      </c>
      <c r="E5" s="5">
        <v>95</v>
      </c>
      <c r="F5" s="7">
        <f>C5/29</f>
        <v>88.379310344827587</v>
      </c>
      <c r="G5" s="1">
        <f>D5*0.07+E5*0.8+F5*0.13</f>
        <v>91.997099289551201</v>
      </c>
      <c r="H5" s="2">
        <f>RANK(G5,$G$2:$G$44)</f>
        <v>4</v>
      </c>
    </row>
    <row r="6" spans="1:8">
      <c r="A6">
        <v>37</v>
      </c>
      <c r="B6" s="4" t="s">
        <v>45</v>
      </c>
      <c r="C6">
        <v>2542</v>
      </c>
      <c r="D6" s="1">
        <f>(C6/MAX($C$2:$C$44))*100</f>
        <v>63.869346733668344</v>
      </c>
      <c r="E6" s="5">
        <v>91</v>
      </c>
      <c r="F6" s="7">
        <f>C6/29</f>
        <v>87.65517241379311</v>
      </c>
      <c r="G6" s="1">
        <f>D6*0.07+E6*0.8+F6*0.13</f>
        <v>88.666026685149887</v>
      </c>
      <c r="H6" s="2">
        <f>RANK(G6,$G$2:$G$44)</f>
        <v>5</v>
      </c>
    </row>
    <row r="7" spans="1:8">
      <c r="A7">
        <v>8</v>
      </c>
      <c r="B7" t="s">
        <v>16</v>
      </c>
      <c r="C7">
        <f>3012</f>
        <v>3012</v>
      </c>
      <c r="D7" s="1">
        <f>(C7/MAX($C$2:$C$44))*100</f>
        <v>75.678391959799001</v>
      </c>
      <c r="E7" s="5">
        <v>90</v>
      </c>
      <c r="F7" s="7">
        <f>C7/35</f>
        <v>86.057142857142864</v>
      </c>
      <c r="G7" s="1">
        <f>D7*0.07+E7*0.8+F7*0.13</f>
        <v>88.484916008614505</v>
      </c>
      <c r="H7" s="2">
        <f>RANK(G7,$G$2:$G$44)</f>
        <v>6</v>
      </c>
    </row>
    <row r="8" spans="1:8">
      <c r="A8">
        <v>39</v>
      </c>
      <c r="B8" s="4" t="s">
        <v>47</v>
      </c>
      <c r="C8">
        <v>2900</v>
      </c>
      <c r="D8" s="1">
        <f>(C8/MAX($C$2:$C$44))*100</f>
        <v>72.8643216080402</v>
      </c>
      <c r="E8" s="5">
        <v>90</v>
      </c>
      <c r="F8" s="7">
        <f>C8/35</f>
        <v>82.857142857142861</v>
      </c>
      <c r="G8" s="1">
        <f>D8*0.07+E8*0.8+F8*0.13</f>
        <v>87.871931083991385</v>
      </c>
      <c r="H8" s="2">
        <f>RANK(G8,$G$2:$G$44)</f>
        <v>7</v>
      </c>
    </row>
    <row r="9" spans="1:8">
      <c r="A9">
        <v>24</v>
      </c>
      <c r="B9" t="s">
        <v>32</v>
      </c>
      <c r="C9">
        <v>2603</v>
      </c>
      <c r="D9" s="1">
        <f>(C9/MAX($C$2:$C$44))*100</f>
        <v>65.402010050251263</v>
      </c>
      <c r="E9" s="5">
        <f>88.5</f>
        <v>88.5</v>
      </c>
      <c r="F9" s="7">
        <f>C9/30</f>
        <v>86.766666666666666</v>
      </c>
      <c r="G9" s="1">
        <f>D9*0.07+E9*0.8+F9*0.13</f>
        <v>86.657807370184258</v>
      </c>
      <c r="H9" s="2">
        <f>RANK(G9,$G$2:$G$44)</f>
        <v>8</v>
      </c>
    </row>
    <row r="10" spans="1:8">
      <c r="A10">
        <v>21</v>
      </c>
      <c r="B10" t="s">
        <v>29</v>
      </c>
      <c r="C10">
        <f>2434</f>
        <v>2434</v>
      </c>
      <c r="D10" s="1">
        <f>(C10/MAX($C$2:$C$44))*100</f>
        <v>61.155778894472355</v>
      </c>
      <c r="E10" s="5">
        <f>89</f>
        <v>89</v>
      </c>
      <c r="F10" s="7">
        <f>C10/29</f>
        <v>83.931034482758619</v>
      </c>
      <c r="G10" s="1">
        <f>D10*0.07+E10*0.8+F10*0.13</f>
        <v>86.391939005371697</v>
      </c>
      <c r="H10" s="2">
        <f>RANK(G10,$G$2:$G$44)</f>
        <v>9</v>
      </c>
    </row>
    <row r="11" spans="1:8">
      <c r="A11">
        <v>47</v>
      </c>
      <c r="B11" s="4" t="s">
        <v>55</v>
      </c>
      <c r="C11">
        <f>2243</f>
        <v>2243</v>
      </c>
      <c r="D11" s="1">
        <f>(C11/MAX($C$2:$C$44))*100</f>
        <v>56.356783919597987</v>
      </c>
      <c r="E11" s="5">
        <v>89</v>
      </c>
      <c r="F11" s="7">
        <f>C11/26</f>
        <v>86.269230769230774</v>
      </c>
      <c r="G11" s="1">
        <f>D11*0.07+E11*0.8+F11*0.13</f>
        <v>86.359974874371872</v>
      </c>
      <c r="H11" s="2">
        <f>RANK(G11,$G$2:$G$44)</f>
        <v>10</v>
      </c>
    </row>
    <row r="12" spans="1:8">
      <c r="A12">
        <v>1</v>
      </c>
      <c r="B12" t="s">
        <v>9</v>
      </c>
      <c r="C12">
        <v>2788</v>
      </c>
      <c r="D12" s="1">
        <f>(C12/MAX($C$2:$C$44))*100</f>
        <v>70.050251256281399</v>
      </c>
      <c r="E12" s="5">
        <v>85</v>
      </c>
      <c r="F12" s="7">
        <f>C12/33</f>
        <v>84.484848484848484</v>
      </c>
      <c r="G12" s="1">
        <f>D12*0.07+E12*0.8+F12*0.13</f>
        <v>83.886547890970007</v>
      </c>
      <c r="H12" s="2">
        <f>RANK(G12,$G$2:$G$44)</f>
        <v>11</v>
      </c>
    </row>
    <row r="13" spans="1:8">
      <c r="A13">
        <v>15</v>
      </c>
      <c r="B13" t="s">
        <v>23</v>
      </c>
      <c r="C13">
        <v>2349</v>
      </c>
      <c r="D13" s="1">
        <f>(C13/MAX($C$2:$C$44))*100</f>
        <v>59.020100502512562</v>
      </c>
      <c r="E13" s="5">
        <v>85.5</v>
      </c>
      <c r="F13" s="7">
        <f>C13/28</f>
        <v>83.892857142857139</v>
      </c>
      <c r="G13" s="1">
        <f>D13*0.07+E13*0.8+F13*0.13</f>
        <v>83.437478463747311</v>
      </c>
      <c r="H13" s="2">
        <f>RANK(G13,$G$2:$G$44)</f>
        <v>12</v>
      </c>
    </row>
    <row r="14" spans="1:8">
      <c r="A14">
        <v>5</v>
      </c>
      <c r="B14" t="s">
        <v>13</v>
      </c>
      <c r="C14">
        <v>2342</v>
      </c>
      <c r="D14" s="1">
        <f>(C14/MAX($C$2:$C$44))*100</f>
        <v>58.844221105527637</v>
      </c>
      <c r="E14" s="5">
        <v>85</v>
      </c>
      <c r="F14" s="7">
        <f>C14/29</f>
        <v>80.758620689655174</v>
      </c>
      <c r="G14" s="1">
        <f>D14*0.07+E14*0.8+F14*0.13</f>
        <v>82.617716167042104</v>
      </c>
      <c r="H14" s="2">
        <f>RANK(G14,$G$2:$G$44)</f>
        <v>13</v>
      </c>
    </row>
    <row r="15" spans="1:8">
      <c r="A15">
        <v>13</v>
      </c>
      <c r="B15" t="s">
        <v>21</v>
      </c>
      <c r="C15">
        <f>2264</f>
        <v>2264</v>
      </c>
      <c r="D15" s="1">
        <f>(C15/MAX($C$2:$C$44))*100</f>
        <v>56.884422110552769</v>
      </c>
      <c r="E15" s="5">
        <v>83</v>
      </c>
      <c r="F15" s="7">
        <f>C15/28</f>
        <v>80.857142857142861</v>
      </c>
      <c r="G15" s="1">
        <f>D15*0.07+E15*0.8+F15*0.13</f>
        <v>80.893338119167268</v>
      </c>
      <c r="H15" s="2">
        <f>RANK(G15,$G$2:$G$44)</f>
        <v>14</v>
      </c>
    </row>
    <row r="16" spans="1:8">
      <c r="A16">
        <v>26</v>
      </c>
      <c r="B16" t="s">
        <v>34</v>
      </c>
      <c r="C16">
        <v>2112</v>
      </c>
      <c r="D16" s="1">
        <f>(C16/MAX($C$2:$C$44))*100</f>
        <v>53.065326633165832</v>
      </c>
      <c r="E16" s="5">
        <f>81</f>
        <v>81</v>
      </c>
      <c r="F16" s="7">
        <f>C16/26</f>
        <v>81.230769230769226</v>
      </c>
      <c r="G16" s="1">
        <f>D16*0.07+E16*0.8+F16*0.13</f>
        <v>79.07457286432161</v>
      </c>
      <c r="H16" s="2">
        <f>RANK(G16,$G$2:$G$44)</f>
        <v>15</v>
      </c>
    </row>
    <row r="17" spans="1:8">
      <c r="A17">
        <v>6</v>
      </c>
      <c r="B17" t="s">
        <v>14</v>
      </c>
      <c r="C17">
        <f>2235</f>
        <v>2235</v>
      </c>
      <c r="D17" s="1">
        <f>(C17/MAX($C$2:$C$44))*100</f>
        <v>56.155778894472363</v>
      </c>
      <c r="E17" s="5">
        <f>80</f>
        <v>80</v>
      </c>
      <c r="F17" s="7">
        <f>C17/28</f>
        <v>79.821428571428569</v>
      </c>
      <c r="G17" s="1">
        <f>D17*0.07+E17*0.8+F17*0.13</f>
        <v>78.307690236898779</v>
      </c>
      <c r="H17" s="2">
        <f>RANK(G17,$G$2:$G$44)</f>
        <v>16</v>
      </c>
    </row>
    <row r="18" spans="1:8">
      <c r="A18">
        <v>16</v>
      </c>
      <c r="B18" s="8" t="s">
        <v>24</v>
      </c>
      <c r="C18">
        <f>1960</f>
        <v>1960</v>
      </c>
      <c r="D18" s="1">
        <f>(C18/MAX($C$2:$C$44))*100</f>
        <v>49.246231155778894</v>
      </c>
      <c r="E18" s="5">
        <f>80</f>
        <v>80</v>
      </c>
      <c r="F18" s="7">
        <f>C18/25</f>
        <v>78.400000000000006</v>
      </c>
      <c r="G18" s="1">
        <f>D18*0.07+E18*0.8+F18*0.13</f>
        <v>77.639236180904533</v>
      </c>
      <c r="H18" s="2">
        <f>RANK(G18,$G$2:$G$44)</f>
        <v>17</v>
      </c>
    </row>
    <row r="19" spans="1:8">
      <c r="A19">
        <v>25</v>
      </c>
      <c r="B19" t="s">
        <v>33</v>
      </c>
      <c r="C19">
        <v>1959</v>
      </c>
      <c r="D19" s="1">
        <f>(C19/MAX($C$2:$C$44))*100</f>
        <v>49.221105527638194</v>
      </c>
      <c r="E19" s="5">
        <f>80</f>
        <v>80</v>
      </c>
      <c r="F19" s="7">
        <f>C19/25</f>
        <v>78.36</v>
      </c>
      <c r="G19" s="1">
        <f>D19*0.07+E19*0.8+F19*0.13</f>
        <v>77.632277386934675</v>
      </c>
      <c r="H19" s="2">
        <f>RANK(G19,$G$2:$G$44)</f>
        <v>18</v>
      </c>
    </row>
    <row r="20" spans="1:8">
      <c r="A20">
        <v>22</v>
      </c>
      <c r="B20" t="s">
        <v>30</v>
      </c>
      <c r="C20">
        <v>1927</v>
      </c>
      <c r="D20" s="1">
        <f>(C20/MAX($C$2:$C$44))*100</f>
        <v>48.417085427135682</v>
      </c>
      <c r="E20" s="5">
        <v>80</v>
      </c>
      <c r="F20" s="7">
        <f>C20/25</f>
        <v>77.08</v>
      </c>
      <c r="G20" s="1">
        <f>D20*0.07+E20*0.8+F20*0.13</f>
        <v>77.409595979899493</v>
      </c>
      <c r="H20" s="2">
        <f>RANK(G20,$G$2:$G$44)</f>
        <v>19</v>
      </c>
    </row>
    <row r="21" spans="1:8">
      <c r="A21">
        <v>18</v>
      </c>
      <c r="B21" s="6" t="s">
        <v>26</v>
      </c>
      <c r="C21">
        <v>1863</v>
      </c>
      <c r="D21" s="1">
        <f>(C21/MAX($C$2:$C$44))*100</f>
        <v>46.80904522613065</v>
      </c>
      <c r="E21" s="5">
        <v>80</v>
      </c>
      <c r="F21" s="7">
        <f>C21/24</f>
        <v>77.625</v>
      </c>
      <c r="G21" s="1">
        <f>D21*0.07+E21*0.8+F21*0.13</f>
        <v>77.367883165829141</v>
      </c>
      <c r="H21" s="2">
        <f>RANK(G21,$G$2:$G$44)</f>
        <v>20</v>
      </c>
    </row>
    <row r="22" spans="1:8">
      <c r="A22">
        <v>48</v>
      </c>
      <c r="B22" s="4" t="s">
        <v>56</v>
      </c>
      <c r="C22">
        <v>1698</v>
      </c>
      <c r="D22" s="1">
        <f>(C22/MAX($C$2:$C$44))*100</f>
        <v>42.663316582914575</v>
      </c>
      <c r="E22" s="5">
        <v>80</v>
      </c>
      <c r="F22" s="7">
        <f>C22/22</f>
        <v>77.181818181818187</v>
      </c>
      <c r="G22" s="1">
        <f>D22*0.07+E22*0.8+F22*0.13</f>
        <v>77.020068524440376</v>
      </c>
      <c r="H22" s="2">
        <f>RANK(G22,$G$2:$G$44)</f>
        <v>21</v>
      </c>
    </row>
    <row r="23" spans="1:8">
      <c r="A23">
        <v>33</v>
      </c>
      <c r="B23" t="s">
        <v>41</v>
      </c>
      <c r="C23">
        <v>1794</v>
      </c>
      <c r="D23" s="1">
        <f>(C23/MAX($C$2:$C$44))*100</f>
        <v>45.075376884422106</v>
      </c>
      <c r="E23" s="5">
        <v>79</v>
      </c>
      <c r="F23" s="7">
        <f>C23/24</f>
        <v>74.75</v>
      </c>
      <c r="G23" s="1">
        <f>D23*0.07+E23*0.8+F23*0.13</f>
        <v>76.072776381909549</v>
      </c>
      <c r="H23" s="2">
        <f>RANK(G23,$G$2:$G$44)</f>
        <v>22</v>
      </c>
    </row>
    <row r="24" spans="1:8">
      <c r="A24">
        <v>23</v>
      </c>
      <c r="B24" t="s">
        <v>31</v>
      </c>
      <c r="C24">
        <v>1658</v>
      </c>
      <c r="D24" s="1">
        <f>(C24/MAX($C$2:$C$44))*100</f>
        <v>41.658291457286431</v>
      </c>
      <c r="E24" s="5">
        <f>79</f>
        <v>79</v>
      </c>
      <c r="F24" s="7">
        <f>C24/23</f>
        <v>72.086956521739125</v>
      </c>
      <c r="G24" s="1">
        <f>D24*0.07+E24*0.8+F24*0.13</f>
        <v>75.487384749836139</v>
      </c>
      <c r="H24" s="2">
        <f>RANK(G24,$G$2:$G$44)</f>
        <v>23</v>
      </c>
    </row>
    <row r="25" spans="1:8">
      <c r="A25">
        <v>42</v>
      </c>
      <c r="B25" s="4" t="s">
        <v>50</v>
      </c>
      <c r="C25">
        <v>1932</v>
      </c>
      <c r="D25" s="1">
        <f>(C25/MAX($C$2:$C$44))*100</f>
        <v>48.542713567839193</v>
      </c>
      <c r="E25" s="5">
        <v>76</v>
      </c>
      <c r="F25" s="7">
        <f>C25/25</f>
        <v>77.28</v>
      </c>
      <c r="G25" s="1">
        <f>D25*0.07+E25*0.8+F25*0.13</f>
        <v>74.244389949748751</v>
      </c>
      <c r="H25" s="2">
        <f>RANK(G25,$G$2:$G$44)</f>
        <v>24</v>
      </c>
    </row>
    <row r="26" spans="1:8">
      <c r="A26">
        <v>32</v>
      </c>
      <c r="B26" t="s">
        <v>40</v>
      </c>
      <c r="C26">
        <v>1469</v>
      </c>
      <c r="D26" s="1">
        <f>(C26/MAX($C$2:$C$44))*100</f>
        <v>36.909547738693469</v>
      </c>
      <c r="E26" s="5">
        <v>76</v>
      </c>
      <c r="F26" s="7">
        <f>C26/21</f>
        <v>69.952380952380949</v>
      </c>
      <c r="G26" s="1">
        <f>D26*0.07+E26*0.8+F26*0.13</f>
        <v>72.477477865518068</v>
      </c>
      <c r="H26" s="2">
        <f>RANK(G26,$G$2:$G$44)</f>
        <v>25</v>
      </c>
    </row>
    <row r="27" spans="1:8">
      <c r="A27">
        <v>46</v>
      </c>
      <c r="B27" s="4" t="s">
        <v>54</v>
      </c>
      <c r="C27">
        <v>1532</v>
      </c>
      <c r="D27" s="1">
        <f>(C27/MAX($C$2:$C$44))*100</f>
        <v>38.492462311557787</v>
      </c>
      <c r="E27" s="5">
        <v>75</v>
      </c>
      <c r="F27" s="7">
        <f>C27/21</f>
        <v>72.952380952380949</v>
      </c>
      <c r="G27" s="1">
        <f>D27*0.07+E27*0.8+F27*0.13</f>
        <v>72.178281885618574</v>
      </c>
      <c r="H27" s="2">
        <f>RANK(G27,$G$2:$G$44)</f>
        <v>26</v>
      </c>
    </row>
    <row r="28" spans="1:8">
      <c r="A28">
        <v>19</v>
      </c>
      <c r="B28" t="s">
        <v>27</v>
      </c>
      <c r="C28">
        <f>1552</f>
        <v>1552</v>
      </c>
      <c r="D28" s="1">
        <f>(C28/MAX($C$2:$C$44))*100</f>
        <v>38.994974874371856</v>
      </c>
      <c r="E28" s="5">
        <f>75</f>
        <v>75</v>
      </c>
      <c r="F28" s="7">
        <f>C28/22</f>
        <v>70.545454545454547</v>
      </c>
      <c r="G28" s="1">
        <f>D28*0.07+E28*0.8+F28*0.13</f>
        <v>71.900557332115113</v>
      </c>
      <c r="H28" s="2">
        <f>RANK(G28,$G$2:$G$44)</f>
        <v>27</v>
      </c>
    </row>
    <row r="29" spans="1:8">
      <c r="A29">
        <v>12</v>
      </c>
      <c r="B29" t="s">
        <v>20</v>
      </c>
      <c r="C29">
        <f>1577</f>
        <v>1577</v>
      </c>
      <c r="D29" s="1">
        <f>(C29/MAX($C$2:$C$44))*100</f>
        <v>39.623115577889443</v>
      </c>
      <c r="E29" s="5">
        <v>74.5</v>
      </c>
      <c r="F29" s="7">
        <f>C29/22</f>
        <v>71.681818181818187</v>
      </c>
      <c r="G29" s="1">
        <f>D29*0.07+E29*0.8+F29*0.13</f>
        <v>71.692254454088626</v>
      </c>
      <c r="H29" s="2">
        <f>RANK(G29,$G$2:$G$44)</f>
        <v>28</v>
      </c>
    </row>
    <row r="30" spans="1:8">
      <c r="A30">
        <v>43</v>
      </c>
      <c r="B30" s="4" t="s">
        <v>51</v>
      </c>
      <c r="C30">
        <v>1551</v>
      </c>
      <c r="D30" s="1">
        <f>(C30/MAX($C$2:$C$44))*100</f>
        <v>38.969849246231156</v>
      </c>
      <c r="E30" s="5">
        <v>74.5</v>
      </c>
      <c r="F30" s="7">
        <f>C30/22</f>
        <v>70.5</v>
      </c>
      <c r="G30" s="1">
        <f>D30*0.07+E30*0.8+F30*0.13</f>
        <v>71.49288944723618</v>
      </c>
      <c r="H30" s="2">
        <f>RANK(G30,$G$2:$G$44)</f>
        <v>29</v>
      </c>
    </row>
    <row r="31" spans="1:8">
      <c r="A31">
        <v>17</v>
      </c>
      <c r="B31" s="6" t="s">
        <v>25</v>
      </c>
      <c r="C31">
        <f>1463</f>
        <v>1463</v>
      </c>
      <c r="D31" s="1">
        <f>(C31/MAX($C$2:$C$44))*100</f>
        <v>36.758793969849243</v>
      </c>
      <c r="E31" s="5">
        <f>74.5</f>
        <v>74.5</v>
      </c>
      <c r="F31" s="7">
        <f>C31/22</f>
        <v>66.5</v>
      </c>
      <c r="G31" s="1">
        <f>D31*0.07+E31*0.8+F31*0.13</f>
        <v>70.818115577889444</v>
      </c>
      <c r="H31" s="2">
        <f>RANK(G31,$G$2:$G$44)</f>
        <v>30</v>
      </c>
    </row>
    <row r="32" spans="1:8">
      <c r="A32">
        <v>31</v>
      </c>
      <c r="B32" t="s">
        <v>39</v>
      </c>
      <c r="C32">
        <v>1446</v>
      </c>
      <c r="D32" s="1">
        <f>(C32/MAX($C$2:$C$44))*100</f>
        <v>36.331658291457288</v>
      </c>
      <c r="E32" s="5">
        <v>72</v>
      </c>
      <c r="F32" s="7">
        <f>C32/23</f>
        <v>62.869565217391305</v>
      </c>
      <c r="G32" s="1">
        <f>D32*0.07+E32*0.8+F32*0.13</f>
        <v>68.316259558662878</v>
      </c>
      <c r="H32" s="2">
        <f>RANK(G32,$G$2:$G$44)</f>
        <v>31</v>
      </c>
    </row>
    <row r="33" spans="1:8">
      <c r="A33">
        <v>4</v>
      </c>
      <c r="B33" t="s">
        <v>12</v>
      </c>
      <c r="C33">
        <v>1539</v>
      </c>
      <c r="D33" s="1">
        <f>(C33/MAX($C$2:$C$44))*100</f>
        <v>38.668341708542712</v>
      </c>
      <c r="E33" s="5">
        <v>70</v>
      </c>
      <c r="F33" s="7">
        <f>C33/23</f>
        <v>66.913043478260875</v>
      </c>
      <c r="G33" s="1">
        <f>D33*0.07+E33*0.8+F33*0.13</f>
        <v>67.405479571771906</v>
      </c>
      <c r="H33" s="2">
        <f>RANK(G33,$G$2:$G$44)</f>
        <v>32</v>
      </c>
    </row>
    <row r="34" spans="1:8">
      <c r="A34">
        <v>30</v>
      </c>
      <c r="B34" t="s">
        <v>38</v>
      </c>
      <c r="C34">
        <v>1476</v>
      </c>
      <c r="D34" s="1">
        <f>(C34/MAX($C$2:$C$44))*100</f>
        <v>37.085427135678387</v>
      </c>
      <c r="E34" s="5">
        <f>70</f>
        <v>70</v>
      </c>
      <c r="F34" s="7">
        <f>C34/22</f>
        <v>67.090909090909093</v>
      </c>
      <c r="G34" s="1">
        <f>D34*0.07+E34*0.8+F34*0.13</f>
        <v>67.317798081315672</v>
      </c>
      <c r="H34" s="2">
        <f>RANK(G34,$G$2:$G$44)</f>
        <v>33</v>
      </c>
    </row>
    <row r="35" spans="1:8">
      <c r="A35">
        <v>29</v>
      </c>
      <c r="B35" s="6" t="s">
        <v>37</v>
      </c>
      <c r="C35">
        <f>1253</f>
        <v>1253</v>
      </c>
      <c r="D35" s="1">
        <f>(C35/MAX($C$2:$C$44))*100</f>
        <v>31.482412060301506</v>
      </c>
      <c r="E35" s="5">
        <f>70</f>
        <v>70</v>
      </c>
      <c r="F35" s="7">
        <f>C35/19</f>
        <v>65.94736842105263</v>
      </c>
      <c r="G35" s="1">
        <f>D35*0.07+E35*0.8+F35*0.13</f>
        <v>66.77692673895794</v>
      </c>
      <c r="H35" s="2">
        <f>RANK(G35,$G$2:$G$44)</f>
        <v>34</v>
      </c>
    </row>
    <row r="36" spans="1:8">
      <c r="A36">
        <v>45</v>
      </c>
      <c r="B36" s="4" t="s">
        <v>53</v>
      </c>
      <c r="C36">
        <v>1072</v>
      </c>
      <c r="D36" s="1">
        <f>(C36/MAX($C$2:$C$44))*100</f>
        <v>26.934673366834172</v>
      </c>
      <c r="E36" s="5">
        <v>65</v>
      </c>
      <c r="F36" s="7">
        <f>C36/17</f>
        <v>63.058823529411768</v>
      </c>
      <c r="G36" s="1">
        <f>D36*0.07+E36*0.8+F36*0.13</f>
        <v>62.083074194501918</v>
      </c>
      <c r="H36" s="2">
        <f>RANK(G36,$G$2:$G$44)</f>
        <v>35</v>
      </c>
    </row>
    <row r="37" spans="1:8">
      <c r="A37">
        <v>36</v>
      </c>
      <c r="B37" t="s">
        <v>44</v>
      </c>
      <c r="C37">
        <v>1302</v>
      </c>
      <c r="D37" s="1">
        <f>(C37/MAX($C$2:$C$44))*100</f>
        <v>32.713567839195981</v>
      </c>
      <c r="E37" s="5">
        <v>64.5</v>
      </c>
      <c r="F37" s="7">
        <f>C37/22</f>
        <v>59.18181818181818</v>
      </c>
      <c r="G37" s="1">
        <f>D37*0.07+E37*0.8+F37*0.13</f>
        <v>61.583586112380083</v>
      </c>
      <c r="H37" s="2">
        <f>RANK(G37,$G$2:$G$44)</f>
        <v>36</v>
      </c>
    </row>
    <row r="38" spans="1:8">
      <c r="A38">
        <v>14</v>
      </c>
      <c r="B38" t="s">
        <v>22</v>
      </c>
      <c r="C38">
        <f>1083</f>
        <v>1083</v>
      </c>
      <c r="D38" s="1">
        <f>(C38/MAX($C$2:$C$44))*100</f>
        <v>27.211055276381906</v>
      </c>
      <c r="E38" s="5">
        <v>60</v>
      </c>
      <c r="F38" s="7">
        <f>C38/20</f>
        <v>54.15</v>
      </c>
      <c r="G38" s="1">
        <f>D38*0.07+E38*0.8+F38*0.13</f>
        <v>56.944273869346731</v>
      </c>
      <c r="H38" s="2">
        <f>RANK(G38,$G$2:$G$44)</f>
        <v>37</v>
      </c>
    </row>
    <row r="39" spans="1:8">
      <c r="A39">
        <v>20</v>
      </c>
      <c r="B39" t="s">
        <v>28</v>
      </c>
      <c r="C39">
        <v>1576</v>
      </c>
      <c r="D39" s="1">
        <f>(C39/MAX($C$2:$C$44))*100</f>
        <v>39.597989949748744</v>
      </c>
      <c r="E39" s="5">
        <v>55</v>
      </c>
      <c r="F39" s="7">
        <f>C39/25</f>
        <v>63.04</v>
      </c>
      <c r="G39" s="1">
        <f>D39*0.07+E39*0.8+F39*0.13</f>
        <v>54.967059296482411</v>
      </c>
      <c r="H39" s="2">
        <f>RANK(G39,$G$2:$G$44)</f>
        <v>38</v>
      </c>
    </row>
    <row r="40" spans="1:8">
      <c r="A40">
        <v>34</v>
      </c>
      <c r="B40" t="s">
        <v>42</v>
      </c>
      <c r="C40">
        <v>898</v>
      </c>
      <c r="D40" s="1">
        <f>(C40/MAX($C$2:$C$44))*100</f>
        <v>22.562814070351759</v>
      </c>
      <c r="E40" s="5">
        <v>55</v>
      </c>
      <c r="F40" s="7">
        <f>C40/17</f>
        <v>52.823529411764703</v>
      </c>
      <c r="G40" s="1">
        <f>D40*0.07+E40*0.8+F40*0.13</f>
        <v>52.446455808454033</v>
      </c>
      <c r="H40" s="2">
        <f>RANK(G40,$G$2:$G$44)</f>
        <v>39</v>
      </c>
    </row>
    <row r="41" spans="1:8">
      <c r="A41">
        <v>49</v>
      </c>
      <c r="B41" s="4" t="s">
        <v>57</v>
      </c>
      <c r="C41">
        <v>832</v>
      </c>
      <c r="D41" s="1">
        <f>(C41/MAX($C$2:$C$44))*100</f>
        <v>20.904522613065328</v>
      </c>
      <c r="E41" s="5">
        <v>39.5</v>
      </c>
      <c r="F41" s="7">
        <f>C41/18</f>
        <v>46.222222222222221</v>
      </c>
      <c r="G41" s="1">
        <f>D41*0.07+E41*0.8+F41*0.13</f>
        <v>39.072205471803464</v>
      </c>
      <c r="H41" s="2">
        <f>RANK(G41,$G$2:$G$44)</f>
        <v>40</v>
      </c>
    </row>
    <row r="42" spans="1:8">
      <c r="A42">
        <v>50</v>
      </c>
      <c r="B42" s="4" t="s">
        <v>58</v>
      </c>
      <c r="C42">
        <v>739</v>
      </c>
      <c r="D42" s="1">
        <f>(C42/MAX($C$2:$C$44))*100</f>
        <v>18.5678391959799</v>
      </c>
      <c r="E42" s="5">
        <v>40</v>
      </c>
      <c r="F42" s="7">
        <f>C42/18</f>
        <v>41.055555555555557</v>
      </c>
      <c r="G42" s="1">
        <f>D42*0.07+E42*0.8+F42*0.13</f>
        <v>38.636970965940819</v>
      </c>
      <c r="H42" s="2">
        <f>RANK(G42,$G$2:$G$44)</f>
        <v>41</v>
      </c>
    </row>
    <row r="43" spans="1:8">
      <c r="A43">
        <v>41</v>
      </c>
      <c r="B43" s="4" t="s">
        <v>49</v>
      </c>
      <c r="C43">
        <v>829</v>
      </c>
      <c r="D43" s="1">
        <f>(C43/MAX($C$2:$C$44))*100</f>
        <v>20.829145728643216</v>
      </c>
      <c r="E43" s="5">
        <v>30</v>
      </c>
      <c r="F43" s="7">
        <f>C43/21</f>
        <v>39.476190476190474</v>
      </c>
      <c r="G43" s="1">
        <f>D43*0.07+E43*0.8+F43*0.13</f>
        <v>30.58994496290979</v>
      </c>
      <c r="H43" s="2">
        <f>RANK(G43,$G$2:$G$44)</f>
        <v>42</v>
      </c>
    </row>
    <row r="44" spans="1:8">
      <c r="A44">
        <v>7</v>
      </c>
      <c r="B44" t="s">
        <v>15</v>
      </c>
      <c r="C44">
        <v>628</v>
      </c>
      <c r="D44" s="1">
        <f>(C44/MAX($C$2:$C$44))*100</f>
        <v>15.778894472361809</v>
      </c>
      <c r="E44" s="5">
        <f>30</f>
        <v>30</v>
      </c>
      <c r="F44" s="7">
        <f>C44/21</f>
        <v>29.904761904761905</v>
      </c>
      <c r="G44" s="1">
        <f>D44*0.07+E44*0.8+F44*0.13</f>
        <v>28.992141660684375</v>
      </c>
      <c r="H44" s="2">
        <f>RANK(G44,$G$2:$G$44)</f>
        <v>43</v>
      </c>
    </row>
    <row r="46" spans="1:8">
      <c r="B46" t="s">
        <v>0</v>
      </c>
    </row>
    <row r="47" spans="1:8">
      <c r="A47">
        <v>2</v>
      </c>
      <c r="B47" t="s">
        <v>10</v>
      </c>
    </row>
    <row r="48" spans="1:8">
      <c r="A48">
        <v>3</v>
      </c>
      <c r="B48" t="s">
        <v>11</v>
      </c>
    </row>
    <row r="49" spans="1:2">
      <c r="A49">
        <v>10</v>
      </c>
      <c r="B49" s="4" t="s">
        <v>18</v>
      </c>
    </row>
    <row r="50" spans="1:2">
      <c r="A50">
        <v>27</v>
      </c>
      <c r="B50" s="4" t="s">
        <v>35</v>
      </c>
    </row>
    <row r="51" spans="1:2">
      <c r="A51">
        <v>28</v>
      </c>
      <c r="B51" s="4" t="s">
        <v>36</v>
      </c>
    </row>
    <row r="52" spans="1:2">
      <c r="A52">
        <v>40</v>
      </c>
      <c r="B52" s="4" t="s">
        <v>48</v>
      </c>
    </row>
    <row r="53" spans="1:2">
      <c r="A53">
        <v>44</v>
      </c>
      <c r="B53" s="4" t="s">
        <v>52</v>
      </c>
    </row>
    <row r="54" spans="1:2">
      <c r="A54">
        <v>51</v>
      </c>
      <c r="B54" s="4" t="s">
        <v>59</v>
      </c>
    </row>
    <row r="55" spans="1:2">
      <c r="A55">
        <v>52</v>
      </c>
      <c r="B55" s="4" t="s">
        <v>60</v>
      </c>
    </row>
    <row r="56" spans="1:2">
      <c r="A56">
        <v>53</v>
      </c>
      <c r="B56" s="4" t="s">
        <v>61</v>
      </c>
    </row>
    <row r="57" spans="1:2">
      <c r="A57">
        <v>54</v>
      </c>
      <c r="B57" s="4" t="s">
        <v>62</v>
      </c>
    </row>
    <row r="58" spans="1:2">
      <c r="A58">
        <v>55</v>
      </c>
      <c r="B58" s="4" t="s">
        <v>63</v>
      </c>
    </row>
  </sheetData>
  <autoFilter ref="A1:H44" xr:uid="{00000000-0009-0000-0000-000000000000}">
    <sortState xmlns:xlrd2="http://schemas.microsoft.com/office/spreadsheetml/2017/richdata2" ref="A2:H44">
      <sortCondition ref="H1:H44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</dc:creator>
  <cp:lastModifiedBy>주성훈</cp:lastModifiedBy>
  <dcterms:created xsi:type="dcterms:W3CDTF">2015-04-05T04:12:40Z</dcterms:created>
  <dcterms:modified xsi:type="dcterms:W3CDTF">2021-04-03T10:38:18Z</dcterms:modified>
</cp:coreProperties>
</file>